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nch-my.sharepoint.com/personal/megi_bpngeorgia_ge/Documents/Desktop/ასატვირთი/"/>
    </mc:Choice>
  </mc:AlternateContent>
  <xr:revisionPtr revIDLastSave="3" documentId="8_{C9D1FAC9-3152-4F6E-91CB-21F0D742BE20}" xr6:coauthVersionLast="47" xr6:coauthVersionMax="47" xr10:uidLastSave="{AAA6ACF6-D6E0-47C0-80D1-D091E8DF1670}"/>
  <bookViews>
    <workbookView xWindow="-110" yWindow="-110" windowWidth="19420" windowHeight="10420" xr2:uid="{00000000-000D-0000-FFFF-FFFF00000000}"/>
  </bookViews>
  <sheets>
    <sheet name="SOLL" sheetId="1" r:id="rId1"/>
  </sheets>
  <definedNames>
    <definedName name="_xlnm.Print_Area" localSheetId="0">SOLL!$A$1:$Q$36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Q22" i="1"/>
  <c r="P22" i="1"/>
  <c r="O22" i="1"/>
  <c r="Q25" i="1"/>
  <c r="P25" i="1"/>
  <c r="O25" i="1"/>
  <c r="Q23" i="1"/>
  <c r="P23" i="1"/>
  <c r="O23" i="1"/>
  <c r="N22" i="1"/>
  <c r="M14" i="1"/>
  <c r="L14" i="1"/>
  <c r="K14" i="1"/>
  <c r="J14" i="1"/>
  <c r="I14" i="1"/>
  <c r="H14" i="1"/>
  <c r="G14" i="1"/>
  <c r="F14" i="1"/>
  <c r="E14" i="1"/>
  <c r="D14" i="1"/>
  <c r="C14" i="1"/>
  <c r="B14" i="1"/>
  <c r="M17" i="1"/>
  <c r="L17" i="1"/>
  <c r="K17" i="1"/>
  <c r="J17" i="1"/>
  <c r="I17" i="1"/>
  <c r="H17" i="1"/>
  <c r="G17" i="1"/>
  <c r="F17" i="1"/>
  <c r="E17" i="1"/>
  <c r="D17" i="1"/>
  <c r="C17" i="1"/>
  <c r="B17" i="1"/>
  <c r="C24" i="1"/>
  <c r="D24" i="1"/>
  <c r="E24" i="1"/>
  <c r="F24" i="1"/>
  <c r="G24" i="1"/>
  <c r="H24" i="1"/>
  <c r="I24" i="1"/>
  <c r="J24" i="1"/>
  <c r="K24" i="1"/>
  <c r="L24" i="1"/>
  <c r="M24" i="1"/>
  <c r="B24" i="1"/>
  <c r="M13" i="1"/>
  <c r="K13" i="1"/>
  <c r="J13" i="1"/>
  <c r="I13" i="1"/>
  <c r="H13" i="1"/>
  <c r="G13" i="1"/>
  <c r="F13" i="1"/>
  <c r="E13" i="1"/>
  <c r="D13" i="1"/>
  <c r="C13" i="1"/>
  <c r="B13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N23" i="1"/>
  <c r="N16" i="1"/>
  <c r="O24" i="1" l="1"/>
  <c r="N8" i="1"/>
  <c r="N24" i="1"/>
  <c r="Q24" i="1" l="1"/>
  <c r="P24" i="1"/>
  <c r="P35" i="1" s="1"/>
  <c r="O35" i="1"/>
  <c r="C19" i="1"/>
  <c r="D19" i="1"/>
  <c r="E19" i="1"/>
  <c r="F19" i="1"/>
  <c r="G19" i="1"/>
  <c r="H19" i="1"/>
  <c r="I19" i="1"/>
  <c r="J19" i="1"/>
  <c r="K19" i="1"/>
  <c r="L19" i="1"/>
  <c r="M19" i="1"/>
  <c r="B19" i="1"/>
  <c r="O11" i="1"/>
  <c r="L11" i="1"/>
  <c r="N5" i="1"/>
  <c r="P11" i="1"/>
  <c r="Q11" i="1"/>
  <c r="N9" i="1"/>
  <c r="C11" i="1"/>
  <c r="D11" i="1"/>
  <c r="E11" i="1"/>
  <c r="F11" i="1"/>
  <c r="G11" i="1"/>
  <c r="H11" i="1"/>
  <c r="I11" i="1"/>
  <c r="J11" i="1"/>
  <c r="K11" i="1"/>
  <c r="M11" i="1"/>
  <c r="B11" i="1"/>
  <c r="B35" i="1"/>
  <c r="C35" i="1"/>
  <c r="D35" i="1"/>
  <c r="E35" i="1"/>
  <c r="F35" i="1"/>
  <c r="G35" i="1"/>
  <c r="H35" i="1"/>
  <c r="I35" i="1"/>
  <c r="J35" i="1"/>
  <c r="K35" i="1"/>
  <c r="L35" i="1"/>
  <c r="M35" i="1"/>
  <c r="N30" i="1"/>
  <c r="N13" i="1"/>
  <c r="N29" i="1"/>
  <c r="N17" i="1"/>
  <c r="N33" i="1"/>
  <c r="N32" i="1"/>
  <c r="N31" i="1"/>
  <c r="N28" i="1"/>
  <c r="N27" i="1"/>
  <c r="N26" i="1"/>
  <c r="N25" i="1"/>
  <c r="N7" i="1"/>
  <c r="N15" i="1"/>
  <c r="N14" i="1"/>
  <c r="N6" i="1"/>
  <c r="Q35" i="1" l="1"/>
  <c r="L20" i="1"/>
  <c r="D20" i="1"/>
  <c r="D36" i="1" s="1"/>
  <c r="I20" i="1"/>
  <c r="I36" i="1" s="1"/>
  <c r="H20" i="1"/>
  <c r="H36" i="1" s="1"/>
  <c r="N11" i="1"/>
  <c r="G20" i="1"/>
  <c r="G36" i="1" s="1"/>
  <c r="N19" i="1"/>
  <c r="F20" i="1"/>
  <c r="F36" i="1" s="1"/>
  <c r="M20" i="1"/>
  <c r="M36" i="1" s="1"/>
  <c r="E20" i="1"/>
  <c r="E36" i="1" s="1"/>
  <c r="K20" i="1"/>
  <c r="K36" i="1" s="1"/>
  <c r="B20" i="1"/>
  <c r="B36" i="1" s="1"/>
  <c r="J20" i="1"/>
  <c r="J36" i="1" s="1"/>
  <c r="C20" i="1"/>
  <c r="C36" i="1" s="1"/>
  <c r="L36" i="1"/>
  <c r="N35" i="1"/>
  <c r="S15" i="1" l="1"/>
  <c r="S13" i="1"/>
  <c r="S14" i="1"/>
  <c r="S17" i="1"/>
  <c r="S16" i="1"/>
  <c r="N20" i="1"/>
  <c r="N36" i="1" s="1"/>
  <c r="O17" i="1" l="1"/>
  <c r="Q17" i="1"/>
  <c r="P17" i="1"/>
  <c r="P14" i="1"/>
  <c r="O14" i="1"/>
  <c r="Q14" i="1"/>
  <c r="P13" i="1"/>
  <c r="Q13" i="1"/>
  <c r="O13" i="1"/>
  <c r="Q16" i="1"/>
  <c r="P16" i="1"/>
  <c r="O16" i="1"/>
  <c r="Q15" i="1"/>
  <c r="O15" i="1"/>
  <c r="P15" i="1"/>
  <c r="Q19" i="1" l="1"/>
  <c r="Q20" i="1" s="1"/>
  <c r="Q36" i="1" s="1"/>
  <c r="P19" i="1"/>
  <c r="P20" i="1" s="1"/>
  <c r="P36" i="1" s="1"/>
  <c r="O19" i="1"/>
  <c r="O20" i="1" s="1"/>
  <c r="O36" i="1" s="1"/>
</calcChain>
</file>

<file path=xl/sharedStrings.xml><?xml version="1.0" encoding="utf-8"?>
<sst xmlns="http://schemas.openxmlformats.org/spreadsheetml/2006/main" count="52" uniqueCount="52">
  <si>
    <t>16.11.20XX-1</t>
  </si>
  <si>
    <t>3 ნომერი ორი საწოლით(თვინი)  (25 აშშ დოლარი 1 ღამე)</t>
  </si>
  <si>
    <t>5 ნომერი ორადგილიანი საწოლით(დაბლი) (22  აშშ დოლარი 1 ღამე)</t>
  </si>
  <si>
    <t>2 საოჯახო ნომერი (30  აშშ დოლარი 1 ღამე)</t>
  </si>
  <si>
    <t>სადილი, ვახშამი (Ø 7 აშშ დოლარი  1 კვება)</t>
  </si>
  <si>
    <t>ექსკურსია (Ø 10 აშშ დოლარი 1ადამიანი)</t>
  </si>
  <si>
    <t>უალკოჰოლო სასმელები</t>
  </si>
  <si>
    <t>ალკოჰოლური სასმელები</t>
  </si>
  <si>
    <t>დასუფთავებისა და ჰიგიენური საშუალებები</t>
  </si>
  <si>
    <t xml:space="preserve">პერსონალის ხელფასი(მზარეული, დასუფთავება, ადმინისტრატორი, ბუღალტერი, მძღოლი) </t>
  </si>
  <si>
    <t xml:space="preserve">მეწარმის ხელფასი </t>
  </si>
  <si>
    <t>ელ. ენერგია, გაზი</t>
  </si>
  <si>
    <t>სატრანსპორტო ხარჯი</t>
  </si>
  <si>
    <t>ტელეფონი</t>
  </si>
  <si>
    <t>რეკლამის ხარჯი</t>
  </si>
  <si>
    <t>მოვლა - შენახვის/მცირე სარემონოტო ხარჯი</t>
  </si>
  <si>
    <t xml:space="preserve">საოფისე მასალა </t>
  </si>
  <si>
    <t>რეზერვი</t>
  </si>
  <si>
    <t>ცვეთის ხარჯი</t>
  </si>
  <si>
    <t>სესხის პროცენტი</t>
  </si>
  <si>
    <t>სულ D</t>
  </si>
  <si>
    <t>წმინდა მოგება (სულ C - სულ D)</t>
  </si>
  <si>
    <t>სულ B</t>
  </si>
  <si>
    <t>C საერთო მოგება (სულ A - სულ B)</t>
  </si>
  <si>
    <t>D საოპერაციო ხარჯები</t>
  </si>
  <si>
    <t>სულ A</t>
  </si>
  <si>
    <t>B ნედლეულის და ძირითადი მასალის ხარჯები</t>
  </si>
  <si>
    <t>A შემოსავალი პროდუქტებიდან და მომსახურებიდან</t>
  </si>
  <si>
    <t>საწარმო: Hillside Boutique Guesthouse</t>
  </si>
  <si>
    <r>
      <rPr>
        <b/>
        <sz val="12"/>
        <rFont val="Arial"/>
        <family val="2"/>
      </rPr>
      <t>თარიღი:</t>
    </r>
    <r>
      <rPr>
        <sz val="12"/>
        <rFont val="Arial"/>
        <family val="2"/>
      </rPr>
      <t xml:space="preserve"> </t>
    </r>
  </si>
  <si>
    <t>ხელმოწერა:</t>
  </si>
  <si>
    <t>ნიკოლოზ ბერიძე</t>
  </si>
  <si>
    <t>იან.</t>
  </si>
  <si>
    <t>თებერ.</t>
  </si>
  <si>
    <t>მარ.</t>
  </si>
  <si>
    <t>აპრ.</t>
  </si>
  <si>
    <t>მაი.</t>
  </si>
  <si>
    <t>ივნ.</t>
  </si>
  <si>
    <t>ივლ.</t>
  </si>
  <si>
    <t>აგვ.</t>
  </si>
  <si>
    <t>სექტ.</t>
  </si>
  <si>
    <t>ოქტ.</t>
  </si>
  <si>
    <t>ნოემ.</t>
  </si>
  <si>
    <t>დეკ.</t>
  </si>
  <si>
    <t>სულ,        წელი 20XX</t>
  </si>
  <si>
    <t>სულ,        წელი 20XX+1</t>
  </si>
  <si>
    <t>სულ,        წელი 20XX+2</t>
  </si>
  <si>
    <t>სულ,        წელი 20XX+3</t>
  </si>
  <si>
    <t xml:space="preserve">ახალი/მალფუჭებადი კვების პროდუქტები </t>
  </si>
  <si>
    <t xml:space="preserve">ხანგრძლივად შენახვადი კვების პროდუქტები </t>
  </si>
  <si>
    <t>საპროგნოზო მოგება – ზარალის უწყისი</t>
  </si>
  <si>
    <t xml:space="preserve">საშემოსავლო გადასახადი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</si>
</sst>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  <charset val="204"/>
    </font>
    <font>
      <sz val="12"/>
      <color indexed="10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14" fontId="0" fillId="0" borderId="0" xfId="0" applyNumberFormat="1"/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/>
    <xf numFmtId="3" fontId="1" fillId="0" borderId="2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3" fillId="0" borderId="27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0" fontId="4" fillId="0" borderId="29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3" fontId="3" fillId="0" borderId="36" xfId="0" applyNumberFormat="1" applyFont="1" applyFill="1" applyBorder="1" applyAlignment="1">
      <alignment vertical="center"/>
    </xf>
    <xf numFmtId="3" fontId="3" fillId="0" borderId="37" xfId="0" applyNumberFormat="1" applyFont="1" applyFill="1" applyBorder="1" applyAlignment="1">
      <alignment vertical="center"/>
    </xf>
    <xf numFmtId="3" fontId="3" fillId="0" borderId="38" xfId="0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5" fontId="6" fillId="0" borderId="0" xfId="0" applyNumberFormat="1" applyFont="1"/>
    <xf numFmtId="0" fontId="12" fillId="0" borderId="0" xfId="0" applyFont="1"/>
    <xf numFmtId="3" fontId="1" fillId="0" borderId="9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0" fillId="0" borderId="0" xfId="0" applyFill="1"/>
    <xf numFmtId="0" fontId="11" fillId="0" borderId="2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5" fontId="2" fillId="0" borderId="0" xfId="0" applyNumberFormat="1" applyFont="1"/>
    <xf numFmtId="0" fontId="3" fillId="2" borderId="30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topLeftCell="A25" zoomScaleNormal="100" workbookViewId="0"/>
  </sheetViews>
  <sheetFormatPr baseColWidth="10" defaultColWidth="8.84375" defaultRowHeight="15.5" x14ac:dyDescent="0.35"/>
  <cols>
    <col min="1" max="1" width="32.23046875" customWidth="1"/>
    <col min="2" max="9" width="7.3046875" customWidth="1"/>
    <col min="10" max="10" width="8.84375" customWidth="1"/>
    <col min="11" max="13" width="7.3046875" customWidth="1"/>
    <col min="14" max="17" width="8.4609375" customWidth="1"/>
  </cols>
  <sheetData>
    <row r="1" spans="1:19" ht="14.25" customHeight="1" x14ac:dyDescent="0.35">
      <c r="A1" s="1" t="s">
        <v>50</v>
      </c>
      <c r="F1" s="4"/>
      <c r="L1" s="6"/>
    </row>
    <row r="2" spans="1:19" ht="18" customHeight="1" thickBot="1" x14ac:dyDescent="0.4">
      <c r="A2" s="1" t="s">
        <v>28</v>
      </c>
      <c r="J2" s="3" t="s">
        <v>29</v>
      </c>
      <c r="K2" s="52" t="s">
        <v>0</v>
      </c>
      <c r="L2" s="6"/>
      <c r="N2" s="1" t="s">
        <v>30</v>
      </c>
      <c r="O2" s="1"/>
      <c r="P2" s="64" t="s">
        <v>31</v>
      </c>
      <c r="Q2" s="1"/>
    </row>
    <row r="3" spans="1:19" s="2" customFormat="1" ht="21.75" customHeight="1" thickBot="1" x14ac:dyDescent="0.25">
      <c r="A3" s="45"/>
      <c r="B3" s="8" t="s">
        <v>32</v>
      </c>
      <c r="C3" s="8" t="s">
        <v>33</v>
      </c>
      <c r="D3" s="8" t="s">
        <v>34</v>
      </c>
      <c r="E3" s="8" t="s">
        <v>35</v>
      </c>
      <c r="F3" s="8" t="s">
        <v>36</v>
      </c>
      <c r="G3" s="8" t="s">
        <v>37</v>
      </c>
      <c r="H3" s="8" t="s">
        <v>38</v>
      </c>
      <c r="I3" s="8" t="s">
        <v>39</v>
      </c>
      <c r="J3" s="8" t="s">
        <v>40</v>
      </c>
      <c r="K3" s="8" t="s">
        <v>41</v>
      </c>
      <c r="L3" s="8" t="s">
        <v>42</v>
      </c>
      <c r="M3" s="8" t="s">
        <v>43</v>
      </c>
      <c r="N3" s="46" t="s">
        <v>44</v>
      </c>
      <c r="O3" s="46" t="s">
        <v>45</v>
      </c>
      <c r="P3" s="46" t="s">
        <v>46</v>
      </c>
      <c r="Q3" s="46" t="s">
        <v>47</v>
      </c>
    </row>
    <row r="4" spans="1:19" ht="15.75" customHeight="1" thickBot="1" x14ac:dyDescent="0.4">
      <c r="A4" s="65" t="s">
        <v>27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</row>
    <row r="5" spans="1:19" x14ac:dyDescent="0.35">
      <c r="A5" s="59" t="s">
        <v>1</v>
      </c>
      <c r="B5" s="18">
        <f>16*25</f>
        <v>400</v>
      </c>
      <c r="C5" s="19">
        <f>18*25</f>
        <v>450</v>
      </c>
      <c r="D5" s="19">
        <f>20*25</f>
        <v>500</v>
      </c>
      <c r="E5" s="19">
        <f>32*25</f>
        <v>800</v>
      </c>
      <c r="F5" s="19">
        <f>40*25</f>
        <v>1000</v>
      </c>
      <c r="G5" s="19">
        <f>50*25</f>
        <v>1250</v>
      </c>
      <c r="H5" s="19">
        <f>66*25</f>
        <v>1650</v>
      </c>
      <c r="I5" s="19">
        <f>70*25</f>
        <v>1750</v>
      </c>
      <c r="J5" s="19">
        <f>46*25</f>
        <v>1150</v>
      </c>
      <c r="K5" s="19">
        <f>36*25</f>
        <v>900</v>
      </c>
      <c r="L5" s="19">
        <f>24*25</f>
        <v>600</v>
      </c>
      <c r="M5" s="20">
        <f>12*25</f>
        <v>300</v>
      </c>
      <c r="N5" s="10">
        <f t="shared" ref="N5:N9" si="0">SUM(B5:M5)</f>
        <v>10750</v>
      </c>
      <c r="O5" s="21">
        <v>11250</v>
      </c>
      <c r="P5" s="10">
        <v>11875</v>
      </c>
      <c r="Q5" s="11">
        <v>13750</v>
      </c>
    </row>
    <row r="6" spans="1:19" x14ac:dyDescent="0.35">
      <c r="A6" s="60" t="s">
        <v>2</v>
      </c>
      <c r="B6" s="22">
        <f>30*22</f>
        <v>660</v>
      </c>
      <c r="C6" s="23">
        <f>32*22</f>
        <v>704</v>
      </c>
      <c r="D6" s="23">
        <f>36*22</f>
        <v>792</v>
      </c>
      <c r="E6" s="23">
        <f>46*22</f>
        <v>1012</v>
      </c>
      <c r="F6" s="23">
        <f>60*22</f>
        <v>1320</v>
      </c>
      <c r="G6" s="23">
        <f>70*22</f>
        <v>1540</v>
      </c>
      <c r="H6" s="23">
        <f>100*22</f>
        <v>2200</v>
      </c>
      <c r="I6" s="23">
        <f>130*22</f>
        <v>2860</v>
      </c>
      <c r="J6" s="23">
        <f>92*22</f>
        <v>2024</v>
      </c>
      <c r="K6" s="23">
        <f>72*22</f>
        <v>1584</v>
      </c>
      <c r="L6" s="23">
        <f>34*22</f>
        <v>748</v>
      </c>
      <c r="M6" s="24">
        <f>18*22</f>
        <v>396</v>
      </c>
      <c r="N6" s="12">
        <f t="shared" si="0"/>
        <v>15840</v>
      </c>
      <c r="O6" s="25">
        <v>16500</v>
      </c>
      <c r="P6" s="12">
        <v>17600</v>
      </c>
      <c r="Q6" s="13">
        <v>18700</v>
      </c>
    </row>
    <row r="7" spans="1:19" x14ac:dyDescent="0.35">
      <c r="A7" s="60" t="s">
        <v>3</v>
      </c>
      <c r="B7" s="22">
        <f>10*30</f>
        <v>300</v>
      </c>
      <c r="C7" s="23">
        <f>14*30</f>
        <v>420</v>
      </c>
      <c r="D7" s="23">
        <f>16*30</f>
        <v>480</v>
      </c>
      <c r="E7" s="23">
        <f>26*30</f>
        <v>780</v>
      </c>
      <c r="F7" s="23">
        <f>30*30</f>
        <v>900</v>
      </c>
      <c r="G7" s="23">
        <f>36*30</f>
        <v>1080</v>
      </c>
      <c r="H7" s="23">
        <f>32*30</f>
        <v>960</v>
      </c>
      <c r="I7" s="23">
        <f>44*30</f>
        <v>1320</v>
      </c>
      <c r="J7" s="23">
        <f>32*30</f>
        <v>960</v>
      </c>
      <c r="K7" s="23">
        <f>20*30</f>
        <v>600</v>
      </c>
      <c r="L7" s="23">
        <f>12*30</f>
        <v>360</v>
      </c>
      <c r="M7" s="24">
        <f>8*30</f>
        <v>240</v>
      </c>
      <c r="N7" s="12">
        <f t="shared" si="0"/>
        <v>8400</v>
      </c>
      <c r="O7" s="25">
        <v>9000</v>
      </c>
      <c r="P7" s="12">
        <v>9600</v>
      </c>
      <c r="Q7" s="13">
        <v>10800</v>
      </c>
    </row>
    <row r="8" spans="1:19" x14ac:dyDescent="0.35">
      <c r="A8" s="60" t="s">
        <v>4</v>
      </c>
      <c r="B8" s="22">
        <f>64*7</f>
        <v>448</v>
      </c>
      <c r="C8" s="22">
        <f>72*7</f>
        <v>504</v>
      </c>
      <c r="D8" s="22">
        <f>98*7</f>
        <v>686</v>
      </c>
      <c r="E8" s="22">
        <f>112*7</f>
        <v>784</v>
      </c>
      <c r="F8" s="22">
        <f>144*7</f>
        <v>1008</v>
      </c>
      <c r="G8" s="22">
        <f>180*7</f>
        <v>1260</v>
      </c>
      <c r="H8" s="22">
        <f>252*7</f>
        <v>1764</v>
      </c>
      <c r="I8" s="22">
        <f>288*7</f>
        <v>2016</v>
      </c>
      <c r="J8" s="22">
        <f>220*7</f>
        <v>1540</v>
      </c>
      <c r="K8" s="22">
        <f>190*7</f>
        <v>1330</v>
      </c>
      <c r="L8" s="22">
        <f>120*7</f>
        <v>840</v>
      </c>
      <c r="M8" s="22">
        <f>60*7</f>
        <v>420</v>
      </c>
      <c r="N8" s="12">
        <f t="shared" si="0"/>
        <v>12600</v>
      </c>
      <c r="O8" s="25">
        <v>13300</v>
      </c>
      <c r="P8" s="12">
        <v>14000</v>
      </c>
      <c r="Q8" s="13">
        <v>15400</v>
      </c>
    </row>
    <row r="9" spans="1:19" x14ac:dyDescent="0.35">
      <c r="A9" s="60" t="s">
        <v>5</v>
      </c>
      <c r="B9" s="22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4">
        <v>0</v>
      </c>
      <c r="N9" s="12">
        <f t="shared" si="0"/>
        <v>0</v>
      </c>
      <c r="O9" s="25">
        <v>4000</v>
      </c>
      <c r="P9" s="12">
        <v>5000</v>
      </c>
      <c r="Q9" s="13">
        <v>6000</v>
      </c>
    </row>
    <row r="10" spans="1:19" ht="15.75" customHeight="1" thickBot="1" x14ac:dyDescent="0.4">
      <c r="A10" s="51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16"/>
      <c r="O10" s="30"/>
      <c r="P10" s="16"/>
      <c r="Q10" s="15"/>
    </row>
    <row r="11" spans="1:19" ht="15.75" customHeight="1" thickBot="1" x14ac:dyDescent="0.4">
      <c r="A11" s="17" t="s">
        <v>25</v>
      </c>
      <c r="B11" s="33">
        <f>SUM(B5:B10)</f>
        <v>1808</v>
      </c>
      <c r="C11" s="34">
        <f t="shared" ref="C11:M11" si="1">SUM(C5:C10)</f>
        <v>2078</v>
      </c>
      <c r="D11" s="34">
        <f t="shared" si="1"/>
        <v>2458</v>
      </c>
      <c r="E11" s="34">
        <f t="shared" si="1"/>
        <v>3376</v>
      </c>
      <c r="F11" s="34">
        <f t="shared" si="1"/>
        <v>4228</v>
      </c>
      <c r="G11" s="34">
        <f t="shared" si="1"/>
        <v>5130</v>
      </c>
      <c r="H11" s="34">
        <f t="shared" si="1"/>
        <v>6574</v>
      </c>
      <c r="I11" s="34">
        <f t="shared" si="1"/>
        <v>7946</v>
      </c>
      <c r="J11" s="34">
        <f t="shared" si="1"/>
        <v>5674</v>
      </c>
      <c r="K11" s="34">
        <f t="shared" si="1"/>
        <v>4414</v>
      </c>
      <c r="L11" s="34">
        <f>SUM(L5:L10)</f>
        <v>2548</v>
      </c>
      <c r="M11" s="35">
        <f t="shared" si="1"/>
        <v>1356</v>
      </c>
      <c r="N11" s="36">
        <f>SUM(N5:N10)</f>
        <v>47590</v>
      </c>
      <c r="O11" s="36">
        <f>SUM(O5:O10)</f>
        <v>54050</v>
      </c>
      <c r="P11" s="36">
        <f>SUM(P5:P10)</f>
        <v>58075</v>
      </c>
      <c r="Q11" s="36">
        <f>SUM(Q5:Q10)</f>
        <v>64650</v>
      </c>
    </row>
    <row r="12" spans="1:19" ht="15.75" customHeight="1" thickTop="1" thickBot="1" x14ac:dyDescent="0.4">
      <c r="A12" s="68" t="s">
        <v>26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9" ht="15.75" customHeight="1" x14ac:dyDescent="0.35">
      <c r="A13" s="59" t="s">
        <v>48</v>
      </c>
      <c r="B13" s="18">
        <f>(16+30+10)*2+(64*2)</f>
        <v>240</v>
      </c>
      <c r="C13" s="19">
        <f>(18+32+14)*2+(72*2)</f>
        <v>272</v>
      </c>
      <c r="D13" s="19">
        <f>(20+36+16)*2+(98*2)</f>
        <v>340</v>
      </c>
      <c r="E13" s="19">
        <f>(42+46+26)*2+(112*2)</f>
        <v>452</v>
      </c>
      <c r="F13" s="19">
        <f>(40+60+30)*2+(144*2)</f>
        <v>548</v>
      </c>
      <c r="G13" s="19">
        <f>(50+70+36)*2+(180*2)</f>
        <v>672</v>
      </c>
      <c r="H13" s="19">
        <f>(66+100+32)*2+(252*2)</f>
        <v>900</v>
      </c>
      <c r="I13" s="19">
        <f>(70+130+44)*2+(288*2)</f>
        <v>1064</v>
      </c>
      <c r="J13" s="19">
        <f>(46+92+32)*2+(220*2)</f>
        <v>780</v>
      </c>
      <c r="K13" s="19">
        <f>(36+72+20)*2+(190*2)</f>
        <v>636</v>
      </c>
      <c r="L13" s="19">
        <f>(24+34+12)*2+(120*2)</f>
        <v>380</v>
      </c>
      <c r="M13" s="20">
        <f>(12+18+8)*2+(60*2)</f>
        <v>196</v>
      </c>
      <c r="N13" s="10">
        <f t="shared" ref="N13:N17" si="2">SUM(B13:M13)</f>
        <v>6480</v>
      </c>
      <c r="O13" s="21">
        <f>$O$11*S13</f>
        <v>7359.6133641521337</v>
      </c>
      <c r="P13" s="10">
        <f>$P$11*S13</f>
        <v>7907.6696785038885</v>
      </c>
      <c r="Q13" s="11">
        <f>$Q$11*S13</f>
        <v>8802.9417944946417</v>
      </c>
      <c r="S13" s="53">
        <f>N13/N11</f>
        <v>0.13616305946627444</v>
      </c>
    </row>
    <row r="14" spans="1:19" ht="15.75" customHeight="1" x14ac:dyDescent="0.35">
      <c r="A14" s="60" t="s">
        <v>49</v>
      </c>
      <c r="B14" s="22">
        <f>64*0.75</f>
        <v>48</v>
      </c>
      <c r="C14" s="23">
        <f>72*0.75</f>
        <v>54</v>
      </c>
      <c r="D14" s="23">
        <f>98*0.75</f>
        <v>73.5</v>
      </c>
      <c r="E14" s="23">
        <f>112*0.75</f>
        <v>84</v>
      </c>
      <c r="F14" s="23">
        <f>144*0.75</f>
        <v>108</v>
      </c>
      <c r="G14" s="23">
        <f>180*0.75</f>
        <v>135</v>
      </c>
      <c r="H14" s="23">
        <f>252*0.75</f>
        <v>189</v>
      </c>
      <c r="I14" s="23">
        <f>288*0.75</f>
        <v>216</v>
      </c>
      <c r="J14" s="23">
        <f>220*0.75</f>
        <v>165</v>
      </c>
      <c r="K14" s="23">
        <f>190*0.75</f>
        <v>142.5</v>
      </c>
      <c r="L14" s="23">
        <f>120*0.75</f>
        <v>90</v>
      </c>
      <c r="M14" s="24">
        <f>60*0.75</f>
        <v>45</v>
      </c>
      <c r="N14" s="12">
        <f t="shared" si="2"/>
        <v>1350</v>
      </c>
      <c r="O14" s="21">
        <f t="shared" ref="O14:O17" si="3">$O$11*S14</f>
        <v>1533.252784198361</v>
      </c>
      <c r="P14" s="10">
        <f t="shared" ref="P14:P17" si="4">$P$11*S14</f>
        <v>1647.4311830216432</v>
      </c>
      <c r="Q14" s="11">
        <f t="shared" ref="Q14:Q17" si="5">$Q$11*S14</f>
        <v>1833.9462071863838</v>
      </c>
      <c r="S14" s="53">
        <f>N14/N11</f>
        <v>2.836730405547384E-2</v>
      </c>
    </row>
    <row r="15" spans="1:19" ht="15.75" customHeight="1" x14ac:dyDescent="0.35">
      <c r="A15" s="60" t="s">
        <v>6</v>
      </c>
      <c r="B15" s="22">
        <v>10.85</v>
      </c>
      <c r="C15" s="23">
        <v>10.85</v>
      </c>
      <c r="D15" s="23">
        <v>21.7</v>
      </c>
      <c r="E15" s="23">
        <v>32.549999999999997</v>
      </c>
      <c r="F15" s="23">
        <v>43.4</v>
      </c>
      <c r="G15" s="23">
        <v>65.099999999999994</v>
      </c>
      <c r="H15" s="23">
        <v>86.8</v>
      </c>
      <c r="I15" s="23">
        <v>86.8</v>
      </c>
      <c r="J15" s="23">
        <v>65.099999999999994</v>
      </c>
      <c r="K15" s="23">
        <v>43.4</v>
      </c>
      <c r="L15" s="23">
        <v>21.7</v>
      </c>
      <c r="M15" s="24">
        <v>21.7</v>
      </c>
      <c r="N15" s="12">
        <f t="shared" si="2"/>
        <v>509.94999999999993</v>
      </c>
      <c r="O15" s="21">
        <f t="shared" si="3"/>
        <v>579.17204244589186</v>
      </c>
      <c r="P15" s="10">
        <f t="shared" si="4"/>
        <v>622.30187539399026</v>
      </c>
      <c r="Q15" s="11">
        <f t="shared" si="5"/>
        <v>692.75619878125644</v>
      </c>
      <c r="S15" s="53">
        <f>N15/N11</f>
        <v>1.0715486446732505E-2</v>
      </c>
    </row>
    <row r="16" spans="1:19" ht="15.75" customHeight="1" x14ac:dyDescent="0.35">
      <c r="A16" s="60" t="s">
        <v>7</v>
      </c>
      <c r="B16" s="22">
        <v>16.274999999999999</v>
      </c>
      <c r="C16" s="23">
        <v>16.274999999999999</v>
      </c>
      <c r="D16" s="23">
        <v>32.549999999999997</v>
      </c>
      <c r="E16" s="23">
        <v>48.824999999999989</v>
      </c>
      <c r="F16" s="23">
        <v>65.099999999999994</v>
      </c>
      <c r="G16" s="23">
        <v>97.649999999999977</v>
      </c>
      <c r="H16" s="23">
        <v>130.19999999999999</v>
      </c>
      <c r="I16" s="23">
        <v>130.19999999999999</v>
      </c>
      <c r="J16" s="23">
        <v>97.649999999999977</v>
      </c>
      <c r="K16" s="23">
        <v>65.099999999999994</v>
      </c>
      <c r="L16" s="23">
        <v>32.549999999999997</v>
      </c>
      <c r="M16" s="24">
        <v>32.549999999999997</v>
      </c>
      <c r="N16" s="12">
        <f t="shared" si="2"/>
        <v>764.92499999999984</v>
      </c>
      <c r="O16" s="21">
        <f t="shared" si="3"/>
        <v>868.75806366883774</v>
      </c>
      <c r="P16" s="10">
        <f t="shared" si="4"/>
        <v>933.45281309098527</v>
      </c>
      <c r="Q16" s="11">
        <f t="shared" si="5"/>
        <v>1039.1342981718844</v>
      </c>
      <c r="S16" s="53">
        <f>N16/N11</f>
        <v>1.6073229670098756E-2</v>
      </c>
    </row>
    <row r="17" spans="1:19" ht="15.75" customHeight="1" x14ac:dyDescent="0.35">
      <c r="A17" s="60" t="s">
        <v>8</v>
      </c>
      <c r="B17" s="22">
        <f>(16+30+10)*0.5</f>
        <v>28</v>
      </c>
      <c r="C17" s="23">
        <f>(18+32+14)*0.5</f>
        <v>32</v>
      </c>
      <c r="D17" s="23">
        <f>(20+36+16)*0.5</f>
        <v>36</v>
      </c>
      <c r="E17" s="23">
        <f>(42+46+26)*0.5</f>
        <v>57</v>
      </c>
      <c r="F17" s="23">
        <f>(40+60+30)*0.5</f>
        <v>65</v>
      </c>
      <c r="G17" s="23">
        <f>(50+70+36)*0.5</f>
        <v>78</v>
      </c>
      <c r="H17" s="23">
        <f>(66+100+32)*0.5</f>
        <v>99</v>
      </c>
      <c r="I17" s="23">
        <f>(70+130+44)*0.5</f>
        <v>122</v>
      </c>
      <c r="J17" s="23">
        <f>(46+92+32)*0.5</f>
        <v>85</v>
      </c>
      <c r="K17" s="23">
        <f>(36+72+20)*0.5</f>
        <v>64</v>
      </c>
      <c r="L17" s="23">
        <f>(24+34+12)*0.5</f>
        <v>35</v>
      </c>
      <c r="M17" s="24">
        <f>(12+18+8)*0.5</f>
        <v>19</v>
      </c>
      <c r="N17" s="12">
        <f t="shared" si="2"/>
        <v>720</v>
      </c>
      <c r="O17" s="21">
        <f t="shared" si="3"/>
        <v>817.73481823912584</v>
      </c>
      <c r="P17" s="10">
        <f t="shared" si="4"/>
        <v>878.62996427820974</v>
      </c>
      <c r="Q17" s="11">
        <f t="shared" si="5"/>
        <v>978.10464383273791</v>
      </c>
      <c r="S17" s="53">
        <f>N17/N11</f>
        <v>1.5129228829586047E-2</v>
      </c>
    </row>
    <row r="18" spans="1:19" ht="15.75" customHeight="1" thickBot="1" x14ac:dyDescent="0.4">
      <c r="A18" s="26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1"/>
      <c r="N18" s="14"/>
      <c r="O18" s="32"/>
      <c r="P18" s="14"/>
      <c r="Q18" s="15"/>
    </row>
    <row r="19" spans="1:19" s="9" customFormat="1" ht="15.75" customHeight="1" thickBot="1" x14ac:dyDescent="0.4">
      <c r="A19" s="61" t="s">
        <v>22</v>
      </c>
      <c r="B19" s="33">
        <f>SUM(B13:B18)</f>
        <v>343.125</v>
      </c>
      <c r="C19" s="34">
        <f t="shared" ref="C19:M19" si="6">SUM(C13:C18)</f>
        <v>385.125</v>
      </c>
      <c r="D19" s="34">
        <f t="shared" si="6"/>
        <v>503.75</v>
      </c>
      <c r="E19" s="34">
        <f t="shared" si="6"/>
        <v>674.375</v>
      </c>
      <c r="F19" s="34">
        <f t="shared" si="6"/>
        <v>829.5</v>
      </c>
      <c r="G19" s="34">
        <f t="shared" si="6"/>
        <v>1047.75</v>
      </c>
      <c r="H19" s="34">
        <f t="shared" si="6"/>
        <v>1405</v>
      </c>
      <c r="I19" s="34">
        <f t="shared" si="6"/>
        <v>1619</v>
      </c>
      <c r="J19" s="34">
        <f t="shared" si="6"/>
        <v>1192.75</v>
      </c>
      <c r="K19" s="34">
        <f t="shared" si="6"/>
        <v>951</v>
      </c>
      <c r="L19" s="34">
        <f t="shared" si="6"/>
        <v>559.25</v>
      </c>
      <c r="M19" s="35">
        <f t="shared" si="6"/>
        <v>314.25</v>
      </c>
      <c r="N19" s="36">
        <f>SUM(N13:N18)</f>
        <v>9824.875</v>
      </c>
      <c r="O19" s="37">
        <f>SUM(O13:O18)</f>
        <v>11158.531072704351</v>
      </c>
      <c r="P19" s="36">
        <f>SUM(P13:P18)</f>
        <v>11989.485514288719</v>
      </c>
      <c r="Q19" s="38">
        <f>SUM(Q13:Q18)</f>
        <v>13346.883142466904</v>
      </c>
    </row>
    <row r="20" spans="1:19" ht="15.75" customHeight="1" thickTop="1" thickBot="1" x14ac:dyDescent="0.4">
      <c r="A20" s="63" t="s">
        <v>23</v>
      </c>
      <c r="B20" s="47">
        <f>B11-B19</f>
        <v>1464.875</v>
      </c>
      <c r="C20" s="48">
        <f t="shared" ref="C20:M20" si="7">C11-C19</f>
        <v>1692.875</v>
      </c>
      <c r="D20" s="47">
        <f t="shared" si="7"/>
        <v>1954.25</v>
      </c>
      <c r="E20" s="48">
        <f t="shared" si="7"/>
        <v>2701.625</v>
      </c>
      <c r="F20" s="47">
        <f t="shared" si="7"/>
        <v>3398.5</v>
      </c>
      <c r="G20" s="48">
        <f t="shared" si="7"/>
        <v>4082.25</v>
      </c>
      <c r="H20" s="47">
        <f t="shared" si="7"/>
        <v>5169</v>
      </c>
      <c r="I20" s="48">
        <f t="shared" si="7"/>
        <v>6327</v>
      </c>
      <c r="J20" s="47">
        <f t="shared" si="7"/>
        <v>4481.25</v>
      </c>
      <c r="K20" s="48">
        <f t="shared" si="7"/>
        <v>3463</v>
      </c>
      <c r="L20" s="47">
        <f t="shared" si="7"/>
        <v>1988.75</v>
      </c>
      <c r="M20" s="48">
        <f t="shared" si="7"/>
        <v>1041.75</v>
      </c>
      <c r="N20" s="47">
        <f>N11-N19</f>
        <v>37765.125</v>
      </c>
      <c r="O20" s="48">
        <f>O11-O19</f>
        <v>42891.468927295646</v>
      </c>
      <c r="P20" s="47">
        <f>P11-P19</f>
        <v>46085.514485711283</v>
      </c>
      <c r="Q20" s="49">
        <f>Q11-Q19</f>
        <v>51303.116857533096</v>
      </c>
    </row>
    <row r="21" spans="1:19" ht="15.75" customHeight="1" thickTop="1" thickBot="1" x14ac:dyDescent="0.4">
      <c r="A21" s="68" t="s">
        <v>24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70"/>
    </row>
    <row r="22" spans="1:19" x14ac:dyDescent="0.35">
      <c r="A22" s="59" t="s">
        <v>9</v>
      </c>
      <c r="B22" s="18">
        <v>750</v>
      </c>
      <c r="C22" s="19">
        <v>750</v>
      </c>
      <c r="D22" s="19">
        <v>750</v>
      </c>
      <c r="E22" s="19">
        <v>1000</v>
      </c>
      <c r="F22" s="19">
        <v>1000</v>
      </c>
      <c r="G22" s="19">
        <v>1250</v>
      </c>
      <c r="H22" s="19">
        <v>1250</v>
      </c>
      <c r="I22" s="19">
        <v>1250</v>
      </c>
      <c r="J22" s="19">
        <v>1250</v>
      </c>
      <c r="K22" s="19">
        <v>1000</v>
      </c>
      <c r="L22" s="19">
        <v>750</v>
      </c>
      <c r="M22" s="20">
        <v>750</v>
      </c>
      <c r="N22" s="10">
        <f>SUM(B22:M22)</f>
        <v>11750</v>
      </c>
      <c r="O22" s="21">
        <f>N22*1.03+1500</f>
        <v>13602.5</v>
      </c>
      <c r="P22" s="10">
        <f>O22*1.03+1750</f>
        <v>15760.575000000001</v>
      </c>
      <c r="Q22" s="11">
        <f>P22*1.03+2000</f>
        <v>18233.392250000001</v>
      </c>
    </row>
    <row r="23" spans="1:19" x14ac:dyDescent="0.35">
      <c r="A23" s="59" t="s">
        <v>10</v>
      </c>
      <c r="B23" s="18">
        <v>500</v>
      </c>
      <c r="C23" s="19">
        <v>500</v>
      </c>
      <c r="D23" s="19">
        <v>500</v>
      </c>
      <c r="E23" s="19">
        <v>500</v>
      </c>
      <c r="F23" s="19">
        <v>500</v>
      </c>
      <c r="G23" s="19">
        <v>500</v>
      </c>
      <c r="H23" s="19">
        <v>500</v>
      </c>
      <c r="I23" s="19">
        <v>500</v>
      </c>
      <c r="J23" s="19">
        <v>500</v>
      </c>
      <c r="K23" s="19">
        <v>500</v>
      </c>
      <c r="L23" s="19">
        <v>500</v>
      </c>
      <c r="M23" s="20">
        <v>500</v>
      </c>
      <c r="N23" s="12">
        <f t="shared" ref="N23:N33" si="8">SUM(B23:M23)</f>
        <v>6000</v>
      </c>
      <c r="O23" s="12">
        <f>N23*1.03</f>
        <v>6180</v>
      </c>
      <c r="P23" s="13">
        <f>O23*1.03</f>
        <v>6365.4000000000005</v>
      </c>
      <c r="Q23" s="13">
        <f>P23*1.03</f>
        <v>6556.362000000001</v>
      </c>
    </row>
    <row r="24" spans="1:19" x14ac:dyDescent="0.35">
      <c r="A24" s="60" t="s">
        <v>51</v>
      </c>
      <c r="B24" s="22">
        <f>0.25*(B22+B23)</f>
        <v>312.5</v>
      </c>
      <c r="C24" s="22">
        <f t="shared" ref="C24:M24" si="9">0.25*(C22+C23)</f>
        <v>312.5</v>
      </c>
      <c r="D24" s="22">
        <f t="shared" si="9"/>
        <v>312.5</v>
      </c>
      <c r="E24" s="22">
        <f t="shared" si="9"/>
        <v>375</v>
      </c>
      <c r="F24" s="22">
        <f t="shared" si="9"/>
        <v>375</v>
      </c>
      <c r="G24" s="22">
        <f t="shared" si="9"/>
        <v>437.5</v>
      </c>
      <c r="H24" s="22">
        <f t="shared" si="9"/>
        <v>437.5</v>
      </c>
      <c r="I24" s="22">
        <f t="shared" si="9"/>
        <v>437.5</v>
      </c>
      <c r="J24" s="22">
        <f t="shared" si="9"/>
        <v>437.5</v>
      </c>
      <c r="K24" s="22">
        <f t="shared" si="9"/>
        <v>375</v>
      </c>
      <c r="L24" s="22">
        <f t="shared" si="9"/>
        <v>312.5</v>
      </c>
      <c r="M24" s="22">
        <f t="shared" si="9"/>
        <v>312.5</v>
      </c>
      <c r="N24" s="12">
        <f t="shared" si="8"/>
        <v>4437.5</v>
      </c>
      <c r="O24" s="10">
        <f>0.25*(O22+O23)</f>
        <v>4945.625</v>
      </c>
      <c r="P24" s="13">
        <f t="shared" ref="P24:Q24" si="10">0.25*(P22+P23)</f>
        <v>5531.4937500000005</v>
      </c>
      <c r="Q24" s="12">
        <f t="shared" si="10"/>
        <v>6197.4385625000004</v>
      </c>
    </row>
    <row r="25" spans="1:19" ht="15.75" customHeight="1" x14ac:dyDescent="0.35">
      <c r="A25" s="60" t="s">
        <v>11</v>
      </c>
      <c r="B25" s="22">
        <v>100</v>
      </c>
      <c r="C25" s="23">
        <v>100</v>
      </c>
      <c r="D25" s="23">
        <v>90</v>
      </c>
      <c r="E25" s="23">
        <v>75</v>
      </c>
      <c r="F25" s="23">
        <v>100</v>
      </c>
      <c r="G25" s="23">
        <v>100</v>
      </c>
      <c r="H25" s="23">
        <v>125</v>
      </c>
      <c r="I25" s="23">
        <v>125</v>
      </c>
      <c r="J25" s="23">
        <v>125</v>
      </c>
      <c r="K25" s="23">
        <v>75</v>
      </c>
      <c r="L25" s="23">
        <v>100</v>
      </c>
      <c r="M25" s="24">
        <v>100</v>
      </c>
      <c r="N25" s="12">
        <f t="shared" si="8"/>
        <v>1215</v>
      </c>
      <c r="O25" s="25">
        <f>N25*1.03</f>
        <v>1251.45</v>
      </c>
      <c r="P25" s="12">
        <f>O25*1.03</f>
        <v>1288.9935</v>
      </c>
      <c r="Q25" s="13">
        <f>P25*1.03</f>
        <v>1327.663305</v>
      </c>
    </row>
    <row r="26" spans="1:19" ht="15.75" customHeight="1" x14ac:dyDescent="0.35">
      <c r="A26" s="60" t="s">
        <v>12</v>
      </c>
      <c r="B26" s="22">
        <v>50</v>
      </c>
      <c r="C26" s="23">
        <v>60</v>
      </c>
      <c r="D26" s="23">
        <v>60</v>
      </c>
      <c r="E26" s="23">
        <v>75</v>
      </c>
      <c r="F26" s="23">
        <v>100</v>
      </c>
      <c r="G26" s="23">
        <v>100</v>
      </c>
      <c r="H26" s="23">
        <v>125</v>
      </c>
      <c r="I26" s="23">
        <v>125</v>
      </c>
      <c r="J26" s="23">
        <v>150</v>
      </c>
      <c r="K26" s="23">
        <v>125</v>
      </c>
      <c r="L26" s="23">
        <v>75</v>
      </c>
      <c r="M26" s="24">
        <v>50</v>
      </c>
      <c r="N26" s="12">
        <f t="shared" si="8"/>
        <v>1095</v>
      </c>
      <c r="O26" s="25">
        <v>1750</v>
      </c>
      <c r="P26" s="12">
        <v>2250</v>
      </c>
      <c r="Q26" s="13">
        <v>2500</v>
      </c>
    </row>
    <row r="27" spans="1:19" s="58" customFormat="1" ht="15.75" customHeight="1" x14ac:dyDescent="0.35">
      <c r="A27" s="60" t="s">
        <v>13</v>
      </c>
      <c r="B27" s="54">
        <v>30</v>
      </c>
      <c r="C27" s="54">
        <v>30</v>
      </c>
      <c r="D27" s="54">
        <v>30</v>
      </c>
      <c r="E27" s="54">
        <v>30</v>
      </c>
      <c r="F27" s="54">
        <v>30</v>
      </c>
      <c r="G27" s="54">
        <v>30</v>
      </c>
      <c r="H27" s="54">
        <v>30</v>
      </c>
      <c r="I27" s="54">
        <v>30</v>
      </c>
      <c r="J27" s="54">
        <v>30</v>
      </c>
      <c r="K27" s="54">
        <v>30</v>
      </c>
      <c r="L27" s="54">
        <v>30</v>
      </c>
      <c r="M27" s="54">
        <v>30</v>
      </c>
      <c r="N27" s="55">
        <f t="shared" si="8"/>
        <v>360</v>
      </c>
      <c r="O27" s="56">
        <v>360</v>
      </c>
      <c r="P27" s="55">
        <v>360</v>
      </c>
      <c r="Q27" s="57">
        <v>360</v>
      </c>
    </row>
    <row r="28" spans="1:19" ht="15.75" customHeight="1" x14ac:dyDescent="0.35">
      <c r="A28" s="60" t="s">
        <v>14</v>
      </c>
      <c r="B28" s="22">
        <v>50</v>
      </c>
      <c r="C28" s="23">
        <v>50</v>
      </c>
      <c r="D28" s="23">
        <v>75</v>
      </c>
      <c r="E28" s="23">
        <v>100</v>
      </c>
      <c r="F28" s="23">
        <v>100</v>
      </c>
      <c r="G28" s="23">
        <v>125</v>
      </c>
      <c r="H28" s="23">
        <v>125</v>
      </c>
      <c r="I28" s="23">
        <v>125</v>
      </c>
      <c r="J28" s="23">
        <v>75</v>
      </c>
      <c r="K28" s="23">
        <v>75</v>
      </c>
      <c r="L28" s="23">
        <v>50</v>
      </c>
      <c r="M28" s="24">
        <v>50</v>
      </c>
      <c r="N28" s="12">
        <f t="shared" si="8"/>
        <v>1000</v>
      </c>
      <c r="O28" s="25">
        <v>1100</v>
      </c>
      <c r="P28" s="12">
        <v>1200</v>
      </c>
      <c r="Q28" s="13">
        <v>1300</v>
      </c>
    </row>
    <row r="29" spans="1:19" x14ac:dyDescent="0.35">
      <c r="A29" s="60" t="s">
        <v>15</v>
      </c>
      <c r="B29" s="22">
        <v>75</v>
      </c>
      <c r="C29" s="23">
        <v>75</v>
      </c>
      <c r="D29" s="23">
        <v>75</v>
      </c>
      <c r="E29" s="23">
        <v>75</v>
      </c>
      <c r="F29" s="23">
        <v>75</v>
      </c>
      <c r="G29" s="23">
        <v>75</v>
      </c>
      <c r="H29" s="23">
        <v>75</v>
      </c>
      <c r="I29" s="23">
        <v>75</v>
      </c>
      <c r="J29" s="23">
        <v>75</v>
      </c>
      <c r="K29" s="23">
        <v>75</v>
      </c>
      <c r="L29" s="23">
        <v>75</v>
      </c>
      <c r="M29" s="24">
        <v>75</v>
      </c>
      <c r="N29" s="12">
        <f t="shared" si="8"/>
        <v>900</v>
      </c>
      <c r="O29" s="25">
        <v>900</v>
      </c>
      <c r="P29" s="12">
        <v>950</v>
      </c>
      <c r="Q29" s="13">
        <v>950</v>
      </c>
    </row>
    <row r="30" spans="1:19" x14ac:dyDescent="0.35">
      <c r="A30" s="60" t="s">
        <v>16</v>
      </c>
      <c r="B30" s="22">
        <v>20</v>
      </c>
      <c r="C30" s="23">
        <v>20</v>
      </c>
      <c r="D30" s="23">
        <v>20</v>
      </c>
      <c r="E30" s="23">
        <v>20</v>
      </c>
      <c r="F30" s="23">
        <v>20</v>
      </c>
      <c r="G30" s="23">
        <v>20</v>
      </c>
      <c r="H30" s="23">
        <v>20</v>
      </c>
      <c r="I30" s="23">
        <v>20</v>
      </c>
      <c r="J30" s="23">
        <v>20</v>
      </c>
      <c r="K30" s="23">
        <v>20</v>
      </c>
      <c r="L30" s="23">
        <v>20</v>
      </c>
      <c r="M30" s="24">
        <v>20</v>
      </c>
      <c r="N30" s="12">
        <f t="shared" si="8"/>
        <v>240</v>
      </c>
      <c r="O30" s="25">
        <v>240</v>
      </c>
      <c r="P30" s="12">
        <v>250</v>
      </c>
      <c r="Q30" s="13">
        <v>260</v>
      </c>
    </row>
    <row r="31" spans="1:19" ht="15.75" customHeight="1" x14ac:dyDescent="0.35">
      <c r="A31" s="50" t="s">
        <v>17</v>
      </c>
      <c r="B31" s="22">
        <v>120</v>
      </c>
      <c r="C31" s="23">
        <v>120</v>
      </c>
      <c r="D31" s="23">
        <v>120</v>
      </c>
      <c r="E31" s="23">
        <v>120</v>
      </c>
      <c r="F31" s="23">
        <v>120</v>
      </c>
      <c r="G31" s="23">
        <v>120</v>
      </c>
      <c r="H31" s="23">
        <v>120</v>
      </c>
      <c r="I31" s="23">
        <v>120</v>
      </c>
      <c r="J31" s="23">
        <v>120</v>
      </c>
      <c r="K31" s="23">
        <v>120</v>
      </c>
      <c r="L31" s="23">
        <v>120</v>
      </c>
      <c r="M31" s="24">
        <v>120</v>
      </c>
      <c r="N31" s="12">
        <f t="shared" si="8"/>
        <v>1440</v>
      </c>
      <c r="O31" s="25">
        <v>1440</v>
      </c>
      <c r="P31" s="12">
        <v>1440</v>
      </c>
      <c r="Q31" s="13">
        <v>1440</v>
      </c>
    </row>
    <row r="32" spans="1:19" ht="15.75" customHeight="1" x14ac:dyDescent="0.35">
      <c r="A32" s="60" t="s">
        <v>18</v>
      </c>
      <c r="B32" s="22">
        <v>320</v>
      </c>
      <c r="C32" s="23">
        <v>320</v>
      </c>
      <c r="D32" s="23">
        <v>320</v>
      </c>
      <c r="E32" s="23">
        <v>320</v>
      </c>
      <c r="F32" s="23">
        <v>320</v>
      </c>
      <c r="G32" s="23">
        <v>320</v>
      </c>
      <c r="H32" s="23">
        <v>320</v>
      </c>
      <c r="I32" s="23">
        <v>320</v>
      </c>
      <c r="J32" s="23">
        <v>320</v>
      </c>
      <c r="K32" s="23">
        <v>320</v>
      </c>
      <c r="L32" s="23">
        <v>320</v>
      </c>
      <c r="M32" s="24">
        <v>320</v>
      </c>
      <c r="N32" s="12">
        <f t="shared" si="8"/>
        <v>3840</v>
      </c>
      <c r="O32" s="25">
        <v>4000</v>
      </c>
      <c r="P32" s="12">
        <v>4200</v>
      </c>
      <c r="Q32" s="13">
        <v>4400</v>
      </c>
    </row>
    <row r="33" spans="1:17" ht="15.75" customHeight="1" x14ac:dyDescent="0.35">
      <c r="A33" s="60" t="s">
        <v>19</v>
      </c>
      <c r="B33" s="22">
        <v>75</v>
      </c>
      <c r="C33" s="23">
        <v>75</v>
      </c>
      <c r="D33" s="23">
        <v>75</v>
      </c>
      <c r="E33" s="23">
        <v>75</v>
      </c>
      <c r="F33" s="23">
        <v>75</v>
      </c>
      <c r="G33" s="23">
        <v>75</v>
      </c>
      <c r="H33" s="23">
        <v>75</v>
      </c>
      <c r="I33" s="23">
        <v>75</v>
      </c>
      <c r="J33" s="23">
        <v>75</v>
      </c>
      <c r="K33" s="23">
        <v>75</v>
      </c>
      <c r="L33" s="23">
        <v>75</v>
      </c>
      <c r="M33" s="24">
        <v>75</v>
      </c>
      <c r="N33" s="12">
        <f t="shared" si="8"/>
        <v>900</v>
      </c>
      <c r="O33" s="25">
        <v>1200</v>
      </c>
      <c r="P33" s="12">
        <v>1200</v>
      </c>
      <c r="Q33" s="13">
        <v>1200</v>
      </c>
    </row>
    <row r="34" spans="1:17" s="7" customFormat="1" ht="15.75" customHeight="1" thickBot="1" x14ac:dyDescent="0.4">
      <c r="A34" s="60"/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4"/>
      <c r="N34" s="12"/>
      <c r="O34" s="25"/>
      <c r="P34" s="12"/>
      <c r="Q34" s="13"/>
    </row>
    <row r="35" spans="1:17" s="7" customFormat="1" ht="15.75" customHeight="1" thickBot="1" x14ac:dyDescent="0.4">
      <c r="A35" s="61" t="s">
        <v>20</v>
      </c>
      <c r="B35" s="39">
        <f t="shared" ref="B35:Q35" si="11">SUM(B22:B34)</f>
        <v>2402.5</v>
      </c>
      <c r="C35" s="40">
        <f t="shared" si="11"/>
        <v>2412.5</v>
      </c>
      <c r="D35" s="40">
        <f t="shared" si="11"/>
        <v>2427.5</v>
      </c>
      <c r="E35" s="40">
        <f t="shared" si="11"/>
        <v>2765</v>
      </c>
      <c r="F35" s="40">
        <f t="shared" si="11"/>
        <v>2815</v>
      </c>
      <c r="G35" s="40">
        <f t="shared" si="11"/>
        <v>3152.5</v>
      </c>
      <c r="H35" s="40">
        <f t="shared" si="11"/>
        <v>3202.5</v>
      </c>
      <c r="I35" s="40">
        <f t="shared" si="11"/>
        <v>3202.5</v>
      </c>
      <c r="J35" s="40">
        <f t="shared" si="11"/>
        <v>3177.5</v>
      </c>
      <c r="K35" s="40">
        <f t="shared" si="11"/>
        <v>2790</v>
      </c>
      <c r="L35" s="40">
        <f t="shared" si="11"/>
        <v>2427.5</v>
      </c>
      <c r="M35" s="41">
        <f t="shared" si="11"/>
        <v>2402.5</v>
      </c>
      <c r="N35" s="42">
        <f t="shared" si="11"/>
        <v>33177.5</v>
      </c>
      <c r="O35" s="43">
        <f t="shared" si="11"/>
        <v>36969.574999999997</v>
      </c>
      <c r="P35" s="42">
        <f t="shared" si="11"/>
        <v>40796.462250000004</v>
      </c>
      <c r="Q35" s="44">
        <f t="shared" si="11"/>
        <v>44724.8561175</v>
      </c>
    </row>
    <row r="36" spans="1:17" s="7" customFormat="1" ht="15.75" customHeight="1" thickTop="1" thickBot="1" x14ac:dyDescent="0.4">
      <c r="A36" s="62" t="s">
        <v>21</v>
      </c>
      <c r="B36" s="47">
        <f t="shared" ref="B36:Q36" si="12">B20-B35</f>
        <v>-937.625</v>
      </c>
      <c r="C36" s="48">
        <f t="shared" si="12"/>
        <v>-719.625</v>
      </c>
      <c r="D36" s="47">
        <f t="shared" si="12"/>
        <v>-473.25</v>
      </c>
      <c r="E36" s="48">
        <f t="shared" si="12"/>
        <v>-63.375</v>
      </c>
      <c r="F36" s="47">
        <f t="shared" si="12"/>
        <v>583.5</v>
      </c>
      <c r="G36" s="48">
        <f t="shared" si="12"/>
        <v>929.75</v>
      </c>
      <c r="H36" s="47">
        <f t="shared" si="12"/>
        <v>1966.5</v>
      </c>
      <c r="I36" s="48">
        <f t="shared" si="12"/>
        <v>3124.5</v>
      </c>
      <c r="J36" s="47">
        <f t="shared" si="12"/>
        <v>1303.75</v>
      </c>
      <c r="K36" s="48">
        <f t="shared" si="12"/>
        <v>673</v>
      </c>
      <c r="L36" s="47">
        <f t="shared" si="12"/>
        <v>-438.75</v>
      </c>
      <c r="M36" s="48">
        <f t="shared" si="12"/>
        <v>-1360.75</v>
      </c>
      <c r="N36" s="47">
        <f t="shared" si="12"/>
        <v>4587.625</v>
      </c>
      <c r="O36" s="48">
        <f t="shared" si="12"/>
        <v>5921.8939272956486</v>
      </c>
      <c r="P36" s="47">
        <f t="shared" si="12"/>
        <v>5289.0522357112786</v>
      </c>
      <c r="Q36" s="49">
        <f t="shared" si="12"/>
        <v>6578.2607400330962</v>
      </c>
    </row>
    <row r="37" spans="1:17" ht="16" thickTop="1" x14ac:dyDescent="0.3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">
    <mergeCell ref="A4:Q4"/>
    <mergeCell ref="A12:Q12"/>
    <mergeCell ref="A21:Q21"/>
  </mergeCells>
  <phoneticPr fontId="9" type="noConversion"/>
  <printOptions horizontalCentered="1" verticalCentered="1"/>
  <pageMargins left="0.33" right="0.35" top="0.19685039370078741" bottom="0.19685039370078741" header="0.51181102362204722" footer="0.51181102362204722"/>
  <pageSetup paperSize="9" scale="80" orientation="landscape" r:id="rId1"/>
  <headerFooter alignWithMargins="0"/>
  <ignoredErrors>
    <ignoredError sqref="I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6DD9D1311755945845436ED126126F6" ma:contentTypeVersion="18" ma:contentTypeDescription="Ein neues Dokument erstellen." ma:contentTypeScope="" ma:versionID="d1d24002133b2a8a64ef58b8a14849a8">
  <xsd:schema xmlns:xsd="http://www.w3.org/2001/XMLSchema" xmlns:xs="http://www.w3.org/2001/XMLSchema" xmlns:p="http://schemas.microsoft.com/office/2006/metadata/properties" xmlns:ns2="c052f35a-0598-4da6-8e35-0f435dc97db5" xmlns:ns3="c52f71b4-697e-4586-8c1a-7e032cbaf4fe" targetNamespace="http://schemas.microsoft.com/office/2006/metadata/properties" ma:root="true" ma:fieldsID="bb24352d367d61d3dfeb5f7eead5cc53" ns2:_="" ns3:_="">
    <xsd:import namespace="c052f35a-0598-4da6-8e35-0f435dc97db5"/>
    <xsd:import namespace="c52f71b4-697e-4586-8c1a-7e032cbaf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2f35a-0598-4da6-8e35-0f435dc97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9085098-9114-4fac-a64b-e2a7691c6b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f71b4-697e-4586-8c1a-7e032cbaf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a3ebe30-2f33-4763-a1d0-1b9ec9770a3a}" ma:internalName="TaxCatchAll" ma:showField="CatchAllData" ma:web="c52f71b4-697e-4586-8c1a-7e032cbaf4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52f35a-0598-4da6-8e35-0f435dc97db5">
      <Terms xmlns="http://schemas.microsoft.com/office/infopath/2007/PartnerControls"/>
    </lcf76f155ced4ddcb4097134ff3c332f>
    <TaxCatchAll xmlns="c52f71b4-697e-4586-8c1a-7e032cbaf4fe" xsi:nil="true"/>
  </documentManagement>
</p:properties>
</file>

<file path=customXml/itemProps1.xml><?xml version="1.0" encoding="utf-8"?>
<ds:datastoreItem xmlns:ds="http://schemas.openxmlformats.org/officeDocument/2006/customXml" ds:itemID="{A541C0C9-86AA-4C17-8003-5BEE6BE8E28B}"/>
</file>

<file path=customXml/itemProps2.xml><?xml version="1.0" encoding="utf-8"?>
<ds:datastoreItem xmlns:ds="http://schemas.openxmlformats.org/officeDocument/2006/customXml" ds:itemID="{5EC51675-913E-4DCF-BCD0-FE76DB56793B}"/>
</file>

<file path=customXml/itemProps3.xml><?xml version="1.0" encoding="utf-8"?>
<ds:datastoreItem xmlns:ds="http://schemas.openxmlformats.org/officeDocument/2006/customXml" ds:itemID="{322F643B-1E9C-4D2A-9C1D-AA55EC27E82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SOLL</vt:lpstr>
      <vt:lpstr>SOLL!Druckbereich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Wilhelm</dc:creator>
  <cp:lastModifiedBy>Megi BPN Georgia</cp:lastModifiedBy>
  <cp:lastPrinted>2018-08-27T07:32:08Z</cp:lastPrinted>
  <dcterms:created xsi:type="dcterms:W3CDTF">2001-02-21T10:34:05Z</dcterms:created>
  <dcterms:modified xsi:type="dcterms:W3CDTF">2022-02-03T11:50:15Z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0x01010066DD9D1311755945845436ED126126F6</vt:lpwstr>
  </property>
</Properties>
</file>